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675" yWindow="0" windowWidth="14685" windowHeight="8130" tabRatio="912" activeTab="1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M16" i="22"/>
  <c r="B36" i="38"/>
  <c r="H16" i="22"/>
  <c r="G36" i="38"/>
  <c r="Q46" i="38"/>
  <c r="R16" i="22"/>
  <c r="G25" i="38"/>
  <c r="A7" i="21"/>
  <c r="B7" i="21"/>
  <c r="C16" i="22"/>
  <c r="B25" i="38"/>
  <c r="L46" i="38"/>
  <c r="L67" i="38"/>
  <c r="K71" i="38"/>
  <c r="K72" i="38"/>
  <c r="K73" i="38"/>
  <c r="K74" i="38"/>
  <c r="K75" i="38"/>
  <c r="L71" i="38"/>
  <c r="T71" i="38"/>
  <c r="T73" i="38"/>
  <c r="T74" i="38"/>
  <c r="T75" i="38"/>
  <c r="T76" i="38"/>
  <c r="R71" i="38"/>
  <c r="L80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18" i="21"/>
  <c r="B18" i="21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Q67" i="38"/>
  <c r="K76" i="38"/>
  <c r="K77" i="38"/>
  <c r="T72" i="38"/>
  <c r="T77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<sst xmlns="http://schemas.openxmlformats.org/spreadsheetml/2006/main" count="187" uniqueCount="82">
  <si>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</si>
  <si>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</si>
  <si>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</si>
  <si>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</si>
  <si>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</si>
  <si>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</si>
  <si>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</si>
  <si>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</si>
  <si>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</si>
  <si>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</si>
  <si>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</si>
  <si>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</si>
  <si>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</si>
  <si>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</si>
  <si>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</si>
  <si>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</si>
  <si>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</si>
  <si>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</si>
  <si>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</si>
  <si>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</si>
  <si>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</si>
  <si>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</si>
  <si>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</si>
  <si>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</si>
  <si>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</si>
  <si>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</si>
  <si>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</si>
  <si>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</si>
  <si>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</si>
  <si>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</si>
  <si>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</si>
  <si>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</si>
  <si>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</si>
  <si>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</si>
  <si>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</si>
  <si>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</si>
  <si>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</si>
  <si>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</si>
  <si>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</si>
  <si>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</si>
  <si>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</si>
  <si>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</si>
  <si>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</si>
  <si>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</si>
  <si>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</si>
  <si>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</si>
  <si>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</si>
  <si>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</si>
  <si>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</si>
  <si>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</si>
  <si>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</si>
  <si>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</si>
  <si>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</si>
  <si>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</si>
  <si>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</si>
  <si>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</si>
  <si>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</si>
  <si>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</si>
  <si>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</si>
  <si>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</si>
  <si>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</si>
  <si>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</si>
  <si>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</si>
  <si>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</si>
  <si>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</si>
  <si>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15-16</t>
  </si>
  <si>
    <t>PICARDIE</t>
  </si>
  <si>
    <t>HADENGUE Eric</t>
  </si>
  <si>
    <t>clubdetirroyen@gmail.com</t>
  </si>
  <si>
    <t>ALBERT SPORT TIR</t>
  </si>
  <si>
    <t>IDEZ Morgan</t>
  </si>
  <si>
    <t>GILLON Jean-Baptiste</t>
  </si>
  <si>
    <t>GRICOURT TONDU - Mathys</t>
  </si>
  <si>
    <t>TIR ROYEN</t>
  </si>
  <si>
    <t>KOZIAREK Hubert</t>
  </si>
  <si>
    <t>HIERNARD Geoffrey</t>
  </si>
  <si>
    <t>DEVAUX Cassandre</t>
  </si>
  <si>
    <t>AAE ESTREBOEUF</t>
  </si>
  <si>
    <t>ROUSSEL Maxence</t>
  </si>
  <si>
    <t>GARDIN Baptiste</t>
  </si>
  <si>
    <t>GAUTIER Eva</t>
  </si>
  <si>
    <t xml:space="preserve">ROYE Stand 10M Michel DONDA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</si>
</sst>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C19"/>
  <sheetViews>
    <sheetView showGridLines="0" topLeftCell="A2" zoomScaleSheetLayoutView="100" workbookViewId="0">
      <selection activeCell="B7" sqref="B7"/>
    </sheetView>
  </sheetViews>
  <sheetFormatPr baseColWidth="10" defaultColWidth="10.75" defaultRowHeight="12.75" x14ac:dyDescent="0.2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 x14ac:dyDescent="0.2">
      <c r="A1" s="184" t="s">
        <v>3</v>
      </c>
      <c r="B1" s="185"/>
      <c r="C1" s="185"/>
    </row>
    <row r="2" spans="1:3" ht="24.95" customHeight="1" x14ac:dyDescent="0.2">
      <c r="A2" s="186" t="s">
        <v>18</v>
      </c>
      <c r="B2" s="186"/>
      <c r="C2" s="186"/>
    </row>
    <row r="3" spans="1:3" ht="24.95" customHeight="1" x14ac:dyDescent="0.2">
      <c r="A3" s="189" t="s">
        <v>29</v>
      </c>
      <c r="B3" s="189"/>
      <c r="C3" s="189"/>
    </row>
    <row r="4" spans="1:3" ht="24.95" customHeight="1" x14ac:dyDescent="0.2">
      <c r="A4" s="110" t="s">
        <v>5</v>
      </c>
      <c r="B4" s="61">
        <v>41260</v>
      </c>
      <c r="C4" s="111"/>
    </row>
    <row r="5" spans="1:3" ht="24.95" customHeight="1" x14ac:dyDescent="0.2">
      <c r="A5" s="110" t="s">
        <v>46</v>
      </c>
      <c r="B5" s="10" t="s">
        <v>81</v>
      </c>
      <c r="C5" s="111"/>
    </row>
    <row r="6" spans="1:3" ht="24.95" customHeight="1" x14ac:dyDescent="0.2">
      <c r="A6" s="110" t="s">
        <v>49</v>
      </c>
      <c r="B6" s="52" t="s">
        <v>65</v>
      </c>
      <c r="C6" s="111"/>
    </row>
    <row r="7" spans="1:3" ht="24.95" customHeight="1" x14ac:dyDescent="0.2">
      <c r="A7" s="110" t="s">
        <v>0</v>
      </c>
      <c r="B7" s="10" t="s">
        <v>64</v>
      </c>
      <c r="C7" s="111" t="s">
        <v>4</v>
      </c>
    </row>
    <row r="8" spans="1:3" ht="24.95" customHeight="1" x14ac:dyDescent="0.2">
      <c r="A8" s="110" t="s">
        <v>47</v>
      </c>
      <c r="B8" s="15">
        <v>3</v>
      </c>
      <c r="C8" s="111"/>
    </row>
    <row r="9" spans="1:3" ht="24.95" customHeight="1" x14ac:dyDescent="0.2">
      <c r="A9" s="9" t="s">
        <v>31</v>
      </c>
      <c r="B9" s="51" t="s">
        <v>66</v>
      </c>
      <c r="C9" s="111" t="s">
        <v>50</v>
      </c>
    </row>
    <row r="10" spans="1:3" ht="24.95" customHeight="1" x14ac:dyDescent="0.2">
      <c r="A10" s="112"/>
      <c r="B10" s="112"/>
      <c r="C10" s="113"/>
    </row>
    <row r="11" spans="1:3" ht="24.9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67</v>
      </c>
      <c r="C12" s="114"/>
    </row>
    <row r="13" spans="1:3" ht="30" customHeight="1" x14ac:dyDescent="0.2">
      <c r="A13" s="9" t="s">
        <v>26</v>
      </c>
      <c r="B13" s="13">
        <v>684208502</v>
      </c>
      <c r="C13" s="111"/>
    </row>
    <row r="14" spans="1:3" ht="30" customHeight="1" x14ac:dyDescent="0.2">
      <c r="A14" s="9" t="s">
        <v>27</v>
      </c>
      <c r="B14" s="16" t="s">
        <v>68</v>
      </c>
      <c r="C14" s="115"/>
    </row>
    <row r="16" spans="1:3" ht="92.1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AA45"/>
  <sheetViews>
    <sheetView showGridLines="0" tabSelected="1" zoomScale="50" zoomScaleNormal="50" zoomScaleSheetLayoutView="40" zoomScalePageLayoutView="50" workbookViewId="0">
      <pane xSplit="4" ySplit="4" topLeftCell="O5" activePane="bottomRight" state="frozenSplit"/>
      <selection pane="topRight" activeCell="E1" sqref="E1"/>
      <selection pane="bottomLeft" activeCell="A3" sqref="A3"/>
      <selection pane="bottomRight" activeCell="Q7" sqref="Q7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20.62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57.5" style="6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6.87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 x14ac:dyDescent="0.2">
      <c r="A1" s="192" t="str">
        <f>CONCATENATE(INFO!B7," - ",INFO!B9)</f>
        <v>CARABINE - PICARDIE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 x14ac:dyDescent="0.2">
      <c r="A5" s="117">
        <v>1</v>
      </c>
      <c r="B5" s="179">
        <f>RANK(W5,W$5:W$44,0)</f>
        <v>3</v>
      </c>
      <c r="C5" s="71" t="s">
        <v>69</v>
      </c>
      <c r="D5" s="72">
        <v>1680020</v>
      </c>
      <c r="E5" s="73" t="s">
        <v>70</v>
      </c>
      <c r="F5" s="140">
        <v>71.2</v>
      </c>
      <c r="G5" s="140">
        <v>69.099999999999994</v>
      </c>
      <c r="H5" s="141">
        <f t="shared" ref="H5:H44" si="0">SUM(F5:G5)</f>
        <v>140.30000000000001</v>
      </c>
      <c r="I5" s="74"/>
      <c r="J5" s="73" t="s">
        <v>71</v>
      </c>
      <c r="K5" s="140">
        <v>80</v>
      </c>
      <c r="L5" s="140">
        <v>73.099999999999994</v>
      </c>
      <c r="M5" s="141">
        <f t="shared" ref="M5:M44" si="1">SUM(K5:L5)</f>
        <v>153.1</v>
      </c>
      <c r="N5" s="74"/>
      <c r="O5" s="73" t="s">
        <v>72</v>
      </c>
      <c r="P5" s="140">
        <v>84.6</v>
      </c>
      <c r="Q5" s="140">
        <v>87.2</v>
      </c>
      <c r="R5" s="141">
        <f t="shared" ref="R5:R44" si="2">SUM(P5:Q5)</f>
        <v>171.8</v>
      </c>
      <c r="S5" s="74"/>
      <c r="T5" s="146">
        <f t="shared" ref="T5:T44" si="3">SUM(H5+M5+R5)</f>
        <v>465.2</v>
      </c>
      <c r="U5" s="120">
        <f>I5+N5+S5</f>
        <v>0</v>
      </c>
      <c r="W5" s="172">
        <f>H5+M5+R5+(0.000001*(I5+N5+S5))+(0.000000001*(G5+L5+Q5))</f>
        <v>465.20000022939996</v>
      </c>
    </row>
    <row r="6" spans="1:27" s="4" customFormat="1" ht="47.1" customHeight="1" x14ac:dyDescent="0.2">
      <c r="A6" s="118">
        <v>2</v>
      </c>
      <c r="B6" s="180">
        <f t="shared" ref="B6:B44" si="4">RANK(W6,W$5:W$44,0)</f>
        <v>1</v>
      </c>
      <c r="C6" s="62" t="s">
        <v>73</v>
      </c>
      <c r="D6" s="64">
        <v>1680005</v>
      </c>
      <c r="E6" s="67" t="s">
        <v>74</v>
      </c>
      <c r="F6" s="142">
        <v>90.3</v>
      </c>
      <c r="G6" s="142">
        <v>81.8</v>
      </c>
      <c r="H6" s="143">
        <f t="shared" si="0"/>
        <v>172.1</v>
      </c>
      <c r="I6" s="68"/>
      <c r="J6" s="67" t="s">
        <v>75</v>
      </c>
      <c r="K6" s="142">
        <v>89.5</v>
      </c>
      <c r="L6" s="142">
        <v>82.8</v>
      </c>
      <c r="M6" s="143">
        <f t="shared" si="1"/>
        <v>172.3</v>
      </c>
      <c r="N6" s="68"/>
      <c r="O6" s="67" t="s">
        <v>76</v>
      </c>
      <c r="P6" s="142">
        <v>95.7</v>
      </c>
      <c r="Q6" s="142">
        <v>91.9</v>
      </c>
      <c r="R6" s="143">
        <f t="shared" si="2"/>
        <v>187.60000000000002</v>
      </c>
      <c r="S6" s="68"/>
      <c r="T6" s="147">
        <f t="shared" si="3"/>
        <v>532</v>
      </c>
      <c r="U6" s="121">
        <f t="shared" ref="U6:U44" si="5">I6+N6+S6</f>
        <v>0</v>
      </c>
      <c r="W6" s="172">
        <f t="shared" ref="W6:W44" si="6">H6+M6+R6+(0.000001*(I6+N6+S6))+(0.000000001*(G6+L6+Q6))</f>
        <v>532.00000025650002</v>
      </c>
    </row>
    <row r="7" spans="1:27" s="4" customFormat="1" ht="47.1" customHeight="1" x14ac:dyDescent="0.2">
      <c r="A7" s="118">
        <v>3</v>
      </c>
      <c r="B7" s="180">
        <f t="shared" si="4"/>
        <v>2</v>
      </c>
      <c r="C7" s="62" t="s">
        <v>77</v>
      </c>
      <c r="D7" s="64">
        <v>1680110</v>
      </c>
      <c r="E7" s="67" t="s">
        <v>78</v>
      </c>
      <c r="F7" s="142">
        <v>82.2</v>
      </c>
      <c r="G7" s="142">
        <v>91.6</v>
      </c>
      <c r="H7" s="143">
        <f t="shared" si="0"/>
        <v>173.8</v>
      </c>
      <c r="I7" s="68"/>
      <c r="J7" s="67" t="s">
        <v>79</v>
      </c>
      <c r="K7" s="142">
        <v>93</v>
      </c>
      <c r="L7" s="142">
        <v>85.9</v>
      </c>
      <c r="M7" s="143">
        <f t="shared" si="1"/>
        <v>178.9</v>
      </c>
      <c r="N7" s="68"/>
      <c r="O7" s="67" t="s">
        <v>80</v>
      </c>
      <c r="P7" s="142">
        <v>84.1</v>
      </c>
      <c r="Q7" s="142">
        <v>93.7</v>
      </c>
      <c r="R7" s="143">
        <f t="shared" si="2"/>
        <v>177.8</v>
      </c>
      <c r="S7" s="68"/>
      <c r="T7" s="147">
        <f t="shared" si="3"/>
        <v>530.5</v>
      </c>
      <c r="U7" s="121">
        <f t="shared" si="5"/>
        <v>0</v>
      </c>
      <c r="W7" s="172">
        <f t="shared" si="6"/>
        <v>530.50000027119995</v>
      </c>
    </row>
    <row r="8" spans="1:27" s="4" customFormat="1" ht="47.1" customHeight="1" x14ac:dyDescent="0.2">
      <c r="A8" s="118">
        <v>4</v>
      </c>
      <c r="B8" s="180">
        <f t="shared" si="4"/>
        <v>4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 x14ac:dyDescent="0.2">
      <c r="A9" s="118">
        <v>5</v>
      </c>
      <c r="B9" s="180">
        <f t="shared" si="4"/>
        <v>4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 x14ac:dyDescent="0.2">
      <c r="A10" s="118">
        <v>6</v>
      </c>
      <c r="B10" s="180">
        <f t="shared" si="4"/>
        <v>4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 x14ac:dyDescent="0.2">
      <c r="A11" s="118">
        <v>7</v>
      </c>
      <c r="B11" s="180">
        <f t="shared" si="4"/>
        <v>4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 x14ac:dyDescent="0.2">
      <c r="A12" s="118">
        <v>8</v>
      </c>
      <c r="B12" s="180">
        <f t="shared" si="4"/>
        <v>4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 x14ac:dyDescent="0.2">
      <c r="A13" s="118">
        <v>9</v>
      </c>
      <c r="B13" s="180">
        <f t="shared" si="4"/>
        <v>4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 x14ac:dyDescent="0.2">
      <c r="A14" s="118">
        <v>10</v>
      </c>
      <c r="B14" s="180">
        <f t="shared" si="4"/>
        <v>4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 x14ac:dyDescent="0.2">
      <c r="A15" s="118">
        <v>11</v>
      </c>
      <c r="B15" s="180">
        <f t="shared" si="4"/>
        <v>4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 x14ac:dyDescent="0.2">
      <c r="A16" s="118">
        <v>12</v>
      </c>
      <c r="B16" s="180">
        <f t="shared" si="4"/>
        <v>4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 x14ac:dyDescent="0.2">
      <c r="A17" s="118">
        <v>13</v>
      </c>
      <c r="B17" s="180">
        <f t="shared" si="4"/>
        <v>4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 x14ac:dyDescent="0.2">
      <c r="A18" s="118">
        <v>14</v>
      </c>
      <c r="B18" s="180">
        <f t="shared" si="4"/>
        <v>4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 x14ac:dyDescent="0.2">
      <c r="A19" s="118">
        <v>15</v>
      </c>
      <c r="B19" s="180">
        <f t="shared" si="4"/>
        <v>4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 x14ac:dyDescent="0.2">
      <c r="A20" s="118">
        <v>16</v>
      </c>
      <c r="B20" s="180">
        <f t="shared" si="4"/>
        <v>4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 x14ac:dyDescent="0.2">
      <c r="A21" s="118">
        <v>17</v>
      </c>
      <c r="B21" s="180">
        <f t="shared" si="4"/>
        <v>4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 x14ac:dyDescent="0.2">
      <c r="A22" s="118">
        <v>18</v>
      </c>
      <c r="B22" s="180">
        <f t="shared" si="4"/>
        <v>4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 x14ac:dyDescent="0.2">
      <c r="A23" s="118">
        <v>19</v>
      </c>
      <c r="B23" s="180">
        <f t="shared" si="4"/>
        <v>4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 x14ac:dyDescent="0.2">
      <c r="A24" s="118">
        <v>20</v>
      </c>
      <c r="B24" s="180">
        <f t="shared" si="4"/>
        <v>4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 x14ac:dyDescent="0.2">
      <c r="A25" s="118">
        <v>21</v>
      </c>
      <c r="B25" s="180">
        <f t="shared" si="4"/>
        <v>4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 x14ac:dyDescent="0.2">
      <c r="A26" s="118">
        <v>22</v>
      </c>
      <c r="B26" s="180">
        <f t="shared" si="4"/>
        <v>4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 x14ac:dyDescent="0.2">
      <c r="A27" s="118">
        <v>23</v>
      </c>
      <c r="B27" s="180">
        <f t="shared" si="4"/>
        <v>4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 x14ac:dyDescent="0.2">
      <c r="A28" s="118">
        <v>24</v>
      </c>
      <c r="B28" s="180">
        <f t="shared" si="4"/>
        <v>4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 x14ac:dyDescent="0.2">
      <c r="A29" s="118">
        <v>25</v>
      </c>
      <c r="B29" s="180">
        <f t="shared" si="4"/>
        <v>4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 x14ac:dyDescent="0.2">
      <c r="A30" s="118">
        <v>26</v>
      </c>
      <c r="B30" s="180">
        <f t="shared" si="4"/>
        <v>4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 x14ac:dyDescent="0.2">
      <c r="A31" s="118">
        <v>27</v>
      </c>
      <c r="B31" s="180">
        <f t="shared" si="4"/>
        <v>4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 x14ac:dyDescent="0.2">
      <c r="A32" s="118">
        <v>28</v>
      </c>
      <c r="B32" s="180">
        <f t="shared" si="4"/>
        <v>4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 x14ac:dyDescent="0.2">
      <c r="A33" s="118">
        <v>29</v>
      </c>
      <c r="B33" s="180">
        <f t="shared" si="4"/>
        <v>4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 x14ac:dyDescent="0.2">
      <c r="A34" s="118">
        <v>30</v>
      </c>
      <c r="B34" s="180">
        <f t="shared" si="4"/>
        <v>4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 x14ac:dyDescent="0.2">
      <c r="A35" s="118">
        <v>31</v>
      </c>
      <c r="B35" s="180">
        <f t="shared" si="4"/>
        <v>4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 x14ac:dyDescent="0.2">
      <c r="A36" s="118">
        <v>32</v>
      </c>
      <c r="B36" s="180">
        <f t="shared" si="4"/>
        <v>4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 x14ac:dyDescent="0.2">
      <c r="A37" s="118">
        <v>33</v>
      </c>
      <c r="B37" s="180">
        <f t="shared" si="4"/>
        <v>4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 x14ac:dyDescent="0.2">
      <c r="A38" s="118">
        <v>34</v>
      </c>
      <c r="B38" s="180">
        <f t="shared" si="4"/>
        <v>4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 x14ac:dyDescent="0.2">
      <c r="A39" s="118">
        <v>35</v>
      </c>
      <c r="B39" s="180">
        <f t="shared" si="4"/>
        <v>4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 x14ac:dyDescent="0.2">
      <c r="A40" s="118">
        <v>36</v>
      </c>
      <c r="B40" s="180">
        <f t="shared" si="4"/>
        <v>4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 x14ac:dyDescent="0.2">
      <c r="A41" s="118">
        <v>37</v>
      </c>
      <c r="B41" s="180">
        <f t="shared" si="4"/>
        <v>4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 x14ac:dyDescent="0.2">
      <c r="A42" s="118">
        <v>38</v>
      </c>
      <c r="B42" s="180">
        <f t="shared" si="4"/>
        <v>4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 x14ac:dyDescent="0.2">
      <c r="A43" s="118">
        <v>39</v>
      </c>
      <c r="B43" s="180">
        <f t="shared" si="4"/>
        <v>4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 x14ac:dyDescent="0.25">
      <c r="A44" s="119">
        <v>40</v>
      </c>
      <c r="B44" s="181">
        <f t="shared" si="4"/>
        <v>4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Z44"/>
  <sheetViews>
    <sheetView showGridLines="0" zoomScale="30" zoomScaleNormal="30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 x14ac:dyDescent="0.2">
      <c r="A2" s="210" t="str">
        <f>CONCATENATE("MATCH DE QUALIFICATION"," - ",INFO!B7," - ",INFO!B9)</f>
        <v>MATCH DE QUALIFICATION - CARABINE - PICARDIE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 x14ac:dyDescent="0.2">
      <c r="A5" s="85">
        <v>1</v>
      </c>
      <c r="B5" s="139" t="str">
        <f>VLOOKUP(A5,saisie!B$5:W$44,2,0)</f>
        <v>TIR ROYEN</v>
      </c>
      <c r="C5" s="86">
        <f>VLOOKUP(A5,saisie!B$5:W$44,3,0)</f>
        <v>1680005</v>
      </c>
      <c r="D5" s="83" t="str">
        <f>VLOOKUP(A5,saisie!B$5:W$44,4,0)</f>
        <v>KOZIAREK Hubert</v>
      </c>
      <c r="E5" s="149">
        <f>VLOOKUP(A5,saisie!B$5:W$44,5,0)</f>
        <v>90.3</v>
      </c>
      <c r="F5" s="149">
        <f>VLOOKUP(A5,saisie!B$5:W$44,6,0)</f>
        <v>81.8</v>
      </c>
      <c r="G5" s="150">
        <f t="shared" ref="G5:G44" si="0">SUM(E5:F5)</f>
        <v>172.1</v>
      </c>
      <c r="H5" s="87">
        <f>VLOOKUP(A5,saisie!B$5:W$44,8,0)</f>
        <v>0</v>
      </c>
      <c r="I5" s="83" t="str">
        <f>VLOOKUP(A5,saisie!B$5:W$44,9,0)</f>
        <v>HIERNARD Geoffrey</v>
      </c>
      <c r="J5" s="149">
        <f>VLOOKUP(A5,saisie!B$5:W$44,10,0)</f>
        <v>89.5</v>
      </c>
      <c r="K5" s="149">
        <f>VLOOKUP(A5,saisie!B$5:W$44,11,0)</f>
        <v>82.8</v>
      </c>
      <c r="L5" s="150">
        <f t="shared" ref="L5:L44" si="1">SUM(J5:K5)</f>
        <v>172.3</v>
      </c>
      <c r="M5" s="87">
        <f>VLOOKUP(A5,saisie!B$5:W$44,13,0)</f>
        <v>0</v>
      </c>
      <c r="N5" s="83" t="str">
        <f>VLOOKUP(A5,saisie!B$5:W$44,14,0)</f>
        <v>DEVAUX Cassandre</v>
      </c>
      <c r="O5" s="149">
        <f>VLOOKUP(A5,saisie!B$5:W$44,15,0)</f>
        <v>95.7</v>
      </c>
      <c r="P5" s="149">
        <f>VLOOKUP(A5,saisie!B$5:W$44,16,0)</f>
        <v>91.9</v>
      </c>
      <c r="Q5" s="150">
        <f t="shared" ref="Q5:Q44" si="2">SUM(O5:P5)</f>
        <v>187.60000000000002</v>
      </c>
      <c r="R5" s="87">
        <f>VLOOKUP(A5,saisie!B$5:W$44,18,0)</f>
        <v>0</v>
      </c>
      <c r="S5" s="151">
        <f t="shared" ref="S5:S44" si="3">SUM(G5+L5+Q5)</f>
        <v>532</v>
      </c>
      <c r="T5" s="88">
        <f>VLOOKUP(A5,saisie!B$5:W$44,20,0)</f>
        <v>0</v>
      </c>
    </row>
    <row r="6" spans="1:26" s="89" customFormat="1" ht="47.1" customHeight="1" x14ac:dyDescent="0.2">
      <c r="A6" s="85">
        <f>IF(INFO!B8&gt;1,2,"")</f>
        <v>2</v>
      </c>
      <c r="B6" s="139" t="str">
        <f>VLOOKUP(A6,saisie!B$5:W$44,2,0)</f>
        <v>AAE ESTREBOEUF</v>
      </c>
      <c r="C6" s="86">
        <f>VLOOKUP(A6,saisie!B$5:W$44,3,0)</f>
        <v>1680110</v>
      </c>
      <c r="D6" s="83" t="str">
        <f>VLOOKUP(A6,saisie!B$5:W$44,4,0)</f>
        <v>ROUSSEL Maxence</v>
      </c>
      <c r="E6" s="149">
        <f>VLOOKUP(A6,saisie!B$5:W$44,5,0)</f>
        <v>82.2</v>
      </c>
      <c r="F6" s="149">
        <f>VLOOKUP(A6,saisie!B$5:W$44,6,0)</f>
        <v>91.6</v>
      </c>
      <c r="G6" s="150">
        <f t="shared" si="0"/>
        <v>173.8</v>
      </c>
      <c r="H6" s="87">
        <f>VLOOKUP(A6,saisie!B$5:W$44,8,0)</f>
        <v>0</v>
      </c>
      <c r="I6" s="83" t="str">
        <f>VLOOKUP(A6,saisie!B$5:W$44,9,0)</f>
        <v>GARDIN Baptiste</v>
      </c>
      <c r="J6" s="149">
        <f>VLOOKUP(A6,saisie!B$5:W$44,10,0)</f>
        <v>93</v>
      </c>
      <c r="K6" s="149">
        <f>VLOOKUP(A6,saisie!B$5:W$44,11,0)</f>
        <v>85.9</v>
      </c>
      <c r="L6" s="150">
        <f t="shared" si="1"/>
        <v>178.9</v>
      </c>
      <c r="M6" s="87">
        <f>VLOOKUP(A6,saisie!B$5:W$44,13,0)</f>
        <v>0</v>
      </c>
      <c r="N6" s="83" t="str">
        <f>VLOOKUP(A6,saisie!B$5:W$44,14,0)</f>
        <v>GAUTIER Eva</v>
      </c>
      <c r="O6" s="149">
        <f>VLOOKUP(A6,saisie!B$5:W$44,15,0)</f>
        <v>84.1</v>
      </c>
      <c r="P6" s="149">
        <f>VLOOKUP(A6,saisie!B$5:W$44,16,0)</f>
        <v>93.7</v>
      </c>
      <c r="Q6" s="150">
        <f t="shared" si="2"/>
        <v>177.8</v>
      </c>
      <c r="R6" s="87">
        <f>VLOOKUP(A6,saisie!B$5:W$44,18,0)</f>
        <v>0</v>
      </c>
      <c r="S6" s="151">
        <f t="shared" si="3"/>
        <v>530.5</v>
      </c>
      <c r="T6" s="88">
        <f>VLOOKUP(A6,saisie!B$5:W$44,20,0)</f>
        <v>0</v>
      </c>
    </row>
    <row r="7" spans="1:26" s="89" customFormat="1" ht="47.1" customHeight="1" x14ac:dyDescent="0.2">
      <c r="A7" s="85">
        <f>IF(INFO!B8&gt;2,3,"")</f>
        <v>3</v>
      </c>
      <c r="B7" s="139" t="str">
        <f>VLOOKUP(A7,saisie!B$5:W$44,2,0)</f>
        <v>ALBERT SPORT TIR</v>
      </c>
      <c r="C7" s="86">
        <f>VLOOKUP(A7,saisie!B$5:W$44,3,0)</f>
        <v>1680020</v>
      </c>
      <c r="D7" s="83" t="str">
        <f>VLOOKUP(A7,saisie!B$5:W$44,4,0)</f>
        <v>IDEZ Morgan</v>
      </c>
      <c r="E7" s="149">
        <f>VLOOKUP(A7,saisie!B$5:W$44,5,0)</f>
        <v>71.2</v>
      </c>
      <c r="F7" s="149">
        <f>VLOOKUP(A7,saisie!B$5:W$44,6,0)</f>
        <v>69.099999999999994</v>
      </c>
      <c r="G7" s="150">
        <f t="shared" si="0"/>
        <v>140.30000000000001</v>
      </c>
      <c r="H7" s="87">
        <f>VLOOKUP(A7,saisie!B$5:W$44,8,0)</f>
        <v>0</v>
      </c>
      <c r="I7" s="83" t="str">
        <f>VLOOKUP(A7,saisie!B$5:W$44,9,0)</f>
        <v>GILLON Jean-Baptiste</v>
      </c>
      <c r="J7" s="149">
        <f>VLOOKUP(A7,saisie!B$5:W$44,10,0)</f>
        <v>80</v>
      </c>
      <c r="K7" s="149">
        <f>VLOOKUP(A7,saisie!B$5:W$44,11,0)</f>
        <v>73.099999999999994</v>
      </c>
      <c r="L7" s="150">
        <f t="shared" si="1"/>
        <v>153.1</v>
      </c>
      <c r="M7" s="87">
        <f>VLOOKUP(A7,saisie!B$5:W$44,13,0)</f>
        <v>0</v>
      </c>
      <c r="N7" s="83" t="str">
        <f>VLOOKUP(A7,saisie!B$5:W$44,14,0)</f>
        <v>GRICOURT TONDU - Mathys</v>
      </c>
      <c r="O7" s="149">
        <f>VLOOKUP(A7,saisie!B$5:W$44,15,0)</f>
        <v>84.6</v>
      </c>
      <c r="P7" s="149">
        <f>VLOOKUP(A7,saisie!B$5:W$44,16,0)</f>
        <v>87.2</v>
      </c>
      <c r="Q7" s="150">
        <f t="shared" si="2"/>
        <v>171.8</v>
      </c>
      <c r="R7" s="87">
        <f>VLOOKUP(A7,saisie!B$5:W$44,18,0)</f>
        <v>0</v>
      </c>
      <c r="S7" s="151">
        <f t="shared" si="3"/>
        <v>465.2</v>
      </c>
      <c r="T7" s="88">
        <f>VLOOKUP(A7,saisie!B$5:W$44,20,0)</f>
        <v>0</v>
      </c>
    </row>
    <row r="8" spans="1:26" s="89" customFormat="1" ht="47.1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9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 x14ac:dyDescent="0.2">
      <c r="A1" s="17"/>
      <c r="B1" s="220" t="str">
        <f>CONCATENATE(INFO!B7,"    ",INFO!B9)</f>
        <v>CARABINE    PICARDIE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52" t="s">
        <v>1</v>
      </c>
      <c r="C4" s="218" t="str">
        <f>'M Q'!B5</f>
        <v>TIR ROYEN</v>
      </c>
      <c r="D4" s="219"/>
      <c r="E4" s="153">
        <f>'M Q'!S5</f>
        <v>532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 x14ac:dyDescent="0.2">
      <c r="A6" s="31"/>
      <c r="B6" s="159" t="str">
        <f>'M Q'!D5</f>
        <v>KOZIAREK Hubert</v>
      </c>
      <c r="C6" s="160">
        <f>'M Q'!E5</f>
        <v>90.3</v>
      </c>
      <c r="D6" s="161">
        <f>'M Q'!F5</f>
        <v>81.8</v>
      </c>
      <c r="E6" s="159">
        <f>SUM(C6:D6)</f>
        <v>172.1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 x14ac:dyDescent="0.2">
      <c r="A7" s="31"/>
      <c r="B7" s="162" t="str">
        <f>'M Q'!I5</f>
        <v>HIERNARD Geoffrey</v>
      </c>
      <c r="C7" s="163">
        <f>'M Q'!J5</f>
        <v>89.5</v>
      </c>
      <c r="D7" s="164">
        <f>'M Q'!K5</f>
        <v>82.8</v>
      </c>
      <c r="E7" s="162">
        <f>SUM(C7:D7)</f>
        <v>172.3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5" t="str">
        <f>'M Q'!N5</f>
        <v>DEVAUX Cassandre</v>
      </c>
      <c r="C8" s="166">
        <f>'M Q'!O5</f>
        <v>95.7</v>
      </c>
      <c r="D8" s="167">
        <f>'M Q'!P5</f>
        <v>91.9</v>
      </c>
      <c r="E8" s="165">
        <f>SUM(C8:D8)</f>
        <v>187.60000000000002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 x14ac:dyDescent="0.25">
      <c r="A10" s="34"/>
      <c r="B10" s="152" t="s">
        <v>2</v>
      </c>
      <c r="C10" s="218" t="str">
        <f>'M Q'!B6</f>
        <v>AAE ESTREBOEUF</v>
      </c>
      <c r="D10" s="219"/>
      <c r="E10" s="153">
        <f>'M Q'!S6</f>
        <v>530.5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 x14ac:dyDescent="0.2">
      <c r="A12" s="31"/>
      <c r="B12" s="159" t="str">
        <f>'M Q'!D6</f>
        <v>ROUSSEL Maxence</v>
      </c>
      <c r="C12" s="160">
        <f>'M Q'!E6</f>
        <v>82.2</v>
      </c>
      <c r="D12" s="161">
        <f>'M Q'!F6</f>
        <v>91.6</v>
      </c>
      <c r="E12" s="159">
        <f>SUM(C12:D12)</f>
        <v>173.8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 x14ac:dyDescent="0.2">
      <c r="A13" s="31"/>
      <c r="B13" s="162" t="str">
        <f>'M Q'!I6</f>
        <v>GARDIN Baptiste</v>
      </c>
      <c r="C13" s="163">
        <f>'M Q'!J6</f>
        <v>93</v>
      </c>
      <c r="D13" s="164">
        <f>'M Q'!K6</f>
        <v>85.9</v>
      </c>
      <c r="E13" s="162">
        <f>SUM(C13:D13)</f>
        <v>178.9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5" t="str">
        <f>'M Q'!N6</f>
        <v>GAUTIER Eva</v>
      </c>
      <c r="C14" s="166">
        <f>'M Q'!O6</f>
        <v>84.1</v>
      </c>
      <c r="D14" s="167">
        <f>'M Q'!P6</f>
        <v>93.7</v>
      </c>
      <c r="E14" s="165">
        <f>SUM(C14:D14)</f>
        <v>177.8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 x14ac:dyDescent="0.25">
      <c r="A16" s="34"/>
      <c r="B16" s="152" t="str">
        <f>IF(INFO!B8&gt;2,"3e MQ","")</f>
        <v>3e MQ</v>
      </c>
      <c r="C16" s="218" t="str">
        <f>IF(INFO!B8&gt;2,'M Q'!B7,"")</f>
        <v>ALBERT SPORT TIR</v>
      </c>
      <c r="D16" s="219"/>
      <c r="E16" s="153">
        <f>IF(INFO!B8&gt;2,'M Q'!S7,"")</f>
        <v>465.2</v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 x14ac:dyDescent="0.2">
      <c r="A18" s="31"/>
      <c r="B18" s="159" t="str">
        <f>IF(INFO!B8&gt;2,'M Q'!D7,"")</f>
        <v>IDEZ Morgan</v>
      </c>
      <c r="C18" s="160">
        <f>IF(INFO!B8&gt;2,'M Q'!E7,"")</f>
        <v>71.2</v>
      </c>
      <c r="D18" s="161">
        <f>IF(INFO!B8&gt;2,'M Q'!F7,"")</f>
        <v>69.099999999999994</v>
      </c>
      <c r="E18" s="159">
        <f>IF(INFO!B8&gt;2,SUM(C18:D18),"")</f>
        <v>140.30000000000001</v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 x14ac:dyDescent="0.2">
      <c r="A19" s="31"/>
      <c r="B19" s="162" t="str">
        <f>IF(INFO!B8&gt;2,'M Q'!I7,"")</f>
        <v>GILLON Jean-Baptiste</v>
      </c>
      <c r="C19" s="163">
        <f>IF(INFO!B8&gt;2,'M Q'!J7,"")</f>
        <v>80</v>
      </c>
      <c r="D19" s="164">
        <f>IF(INFO!B8&gt;2,'M Q'!K7,"")</f>
        <v>73.099999999999994</v>
      </c>
      <c r="E19" s="162">
        <f>IF(INFO!B8&gt;2,SUM(C19:D19),"")</f>
        <v>153.1</v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5" t="str">
        <f>IF(INFO!B8&gt;2,'M Q'!N7,"")</f>
        <v>GRICOURT TONDU - Mathys</v>
      </c>
      <c r="C20" s="166">
        <f>IF(INFO!B8&gt;2,'M Q'!O7,"")</f>
        <v>84.6</v>
      </c>
      <c r="D20" s="167">
        <f>IF(INFO!B8&gt;2,'M Q'!P7,"")</f>
        <v>87.2</v>
      </c>
      <c r="E20" s="165">
        <f>IF(INFO!B8&gt;2,SUM(C20:D20),"")</f>
        <v>171.8</v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V109"/>
  <sheetViews>
    <sheetView showGridLines="0" zoomScale="61" zoomScaleNormal="61" zoomScaleSheetLayoutView="75" zoomScalePageLayoutView="95" workbookViewId="0">
      <pane ySplit="2" topLeftCell="A90" activePane="bottomLeft" state="frozenSplit"/>
      <selection sqref="A1:C1"/>
      <selection pane="bottomLeft" activeCell="L104" sqref="L104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 x14ac:dyDescent="0.2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7.95" customHeight="1" outlineLevel="1" thickBot="1" x14ac:dyDescent="0.25">
      <c r="B4" s="263" t="str">
        <f>'Clb Q'!C4</f>
        <v>TIR ROYEN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1.95" customHeight="1" outlineLevel="2" x14ac:dyDescent="0.2">
      <c r="B5" s="250" t="str">
        <f>'Clb Q'!B6</f>
        <v>KOZIAREK Hubert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1.95" customHeight="1" outlineLevel="2" x14ac:dyDescent="0.2">
      <c r="B6" s="250" t="str">
        <f>'Clb Q'!B7</f>
        <v>HIERNARD Geoffrey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1.95" customHeight="1" outlineLevel="2" thickBot="1" x14ac:dyDescent="0.25">
      <c r="B7" s="250" t="str">
        <f>'Clb Q'!B8</f>
        <v>DEVAUX Cassandre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1.9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1.9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1.9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1.9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1.9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7.95" customHeight="1" outlineLevel="1" thickBot="1" x14ac:dyDescent="0.25">
      <c r="B25" s="263" t="str">
        <f>'Clb Q'!C16</f>
        <v>ALBERT SPORT TIR</v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1.95" customHeight="1" outlineLevel="2" x14ac:dyDescent="0.2">
      <c r="B26" s="250" t="str">
        <f>'Clb Q'!B18</f>
        <v>IDEZ Morgan</v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1.95" customHeight="1" outlineLevel="2" x14ac:dyDescent="0.2">
      <c r="B27" s="250" t="str">
        <f>'Clb Q'!B19</f>
        <v>GILLON Jean-Baptiste</v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1.95" customHeight="1" outlineLevel="2" thickBot="1" x14ac:dyDescent="0.25">
      <c r="B28" s="250" t="str">
        <f>'Clb Q'!B20</f>
        <v>GRICOURT TONDU - Mathys</v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1.9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1.95" customHeight="1" outlineLevel="1" x14ac:dyDescent="0.2">
      <c r="A32" s="29">
        <f>IF(D32="","",IF(D32&gt;1,1,0))</f>
        <v>0</v>
      </c>
      <c r="B32" s="256"/>
      <c r="C32" s="267"/>
      <c r="D32" s="79">
        <v>0</v>
      </c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1.95" customHeight="1" outlineLevel="1" thickBot="1" x14ac:dyDescent="0.25">
      <c r="A33" s="29">
        <f>IF(D33="","",IF(D33&gt;1,1,0))</f>
        <v>0</v>
      </c>
      <c r="B33" s="256"/>
      <c r="C33" s="267"/>
      <c r="D33" s="80">
        <v>0</v>
      </c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AAE ESTREBOEUF</v>
      </c>
      <c r="R36" s="264"/>
      <c r="S36" s="265"/>
      <c r="U36" s="42"/>
    </row>
    <row r="37" spans="1:21" s="36" customFormat="1" ht="21.9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ROUSSEL Maxence</v>
      </c>
      <c r="R37" s="251"/>
      <c r="S37" s="252"/>
      <c r="U37" s="43"/>
    </row>
    <row r="38" spans="1:21" s="36" customFormat="1" ht="21.9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GARDIN Baptiste</v>
      </c>
      <c r="R38" s="251"/>
      <c r="S38" s="252"/>
      <c r="U38" s="43"/>
    </row>
    <row r="39" spans="1:21" s="36" customFormat="1" ht="21.9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GAUTIER Eva</v>
      </c>
      <c r="R39" s="251"/>
      <c r="S39" s="252"/>
      <c r="U39" s="43"/>
    </row>
    <row r="40" spans="1:21" ht="21.9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>
        <v>0</v>
      </c>
      <c r="R40" s="253">
        <f>IF(Q40="","",SUM(T40:T44))</f>
        <v>0</v>
      </c>
      <c r="S40" s="254"/>
      <c r="T40" s="41">
        <f>IF(Q40="","",IF(Q40&gt;1,1,0))</f>
        <v>0</v>
      </c>
      <c r="U40" s="30"/>
    </row>
    <row r="41" spans="1:21" ht="21.9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>
        <v>0</v>
      </c>
      <c r="R41" s="255"/>
      <c r="S41" s="256"/>
      <c r="T41" s="41">
        <f>IF(Q41="","",IF(Q41&gt;1,1,0))</f>
        <v>0</v>
      </c>
      <c r="U41" s="30"/>
    </row>
    <row r="42" spans="1:21" ht="21.9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>
        <v>0</v>
      </c>
      <c r="R42" s="255"/>
      <c r="S42" s="256"/>
      <c r="T42" s="41">
        <f>IF(Q42="","",IF(Q42&gt;1,1,0))</f>
        <v>0</v>
      </c>
      <c r="U42" s="30"/>
    </row>
    <row r="43" spans="1:21" ht="21.9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7.95" customHeight="1" thickBot="1" x14ac:dyDescent="0.25">
      <c r="B46" s="244" t="str">
        <f>IF(G4="",B4,IF(B8="","",IF(B8&gt;2,B4,IF(H8&gt;2,G4,""))))</f>
        <v>TIR ROYEN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>ALBERT SPORT TIR</v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1.95" customHeight="1" outlineLevel="1" x14ac:dyDescent="0.2">
      <c r="B47" s="247" t="str">
        <f>IF(G4="",B5,IF(B8="","",IF(B8&gt;2,B5,IF(H8&gt;2,G5,""))))</f>
        <v>KOZIAREK Hubert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>IDEZ Morgan</v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1.95" customHeight="1" outlineLevel="1" x14ac:dyDescent="0.2">
      <c r="B48" s="247" t="str">
        <f>IF(G4="",B6,IF(B8="","",IF(B8&gt;2,B6,IF(H8&gt;2,G6,""))))</f>
        <v>HIERNARD Geoffrey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>GILLON Jean-Baptiste</v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1.95" customHeight="1" outlineLevel="1" thickBot="1" x14ac:dyDescent="0.25">
      <c r="B49" s="247" t="str">
        <f>IF(G4="",B7,IF(B8="","",IF(B8&gt;2,B7,IF(H8&gt;2,G7,""))))</f>
        <v>DEVAUX Cassandre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>GRICOURT TONDU - Mathys</v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1.9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AAE ESTREBOEUF</v>
      </c>
      <c r="R56" s="245"/>
      <c r="S56" s="246"/>
      <c r="U56" s="42"/>
    </row>
    <row r="57" spans="1:21" s="36" customFormat="1" ht="21.9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ROUSSEL Maxence</v>
      </c>
      <c r="R57" s="248"/>
      <c r="S57" s="249"/>
      <c r="U57" s="43"/>
    </row>
    <row r="58" spans="1:21" s="36" customFormat="1" ht="21.9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GARDIN Baptiste</v>
      </c>
      <c r="R58" s="248"/>
      <c r="S58" s="249"/>
      <c r="U58" s="43"/>
    </row>
    <row r="59" spans="1:21" s="36" customFormat="1" ht="21.9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GAUTIER Eva</v>
      </c>
      <c r="R59" s="248"/>
      <c r="S59" s="249"/>
      <c r="U59" s="43"/>
    </row>
    <row r="60" spans="1:21" ht="21.9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7.95" customHeight="1" thickBot="1" x14ac:dyDescent="0.25">
      <c r="B67" s="241" t="str">
        <f>IF(G46="",B46,IF(B50="","",IF(H50="","",IF(B50&gt;2,B46,IF(H50&gt;2,G46,"")))))</f>
        <v>TIR ROYEN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>ALBERT SPORT TIR</v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AAE ESTREBOEUF</v>
      </c>
      <c r="R67" s="242"/>
      <c r="S67" s="243"/>
    </row>
    <row r="68" spans="1:21" s="36" customFormat="1" ht="21.95" customHeight="1" outlineLevel="1" x14ac:dyDescent="0.2">
      <c r="B68" s="275" t="str">
        <f>IF(G46="",B47,IF(B50="","",IF(H50="","",IF(B50&gt;2,B47,IF(H50&gt;2,G47,"")))))</f>
        <v>KOZIAREK Hubert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>IDEZ Morgan</v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ROUSSEL Maxence</v>
      </c>
      <c r="R68" s="276"/>
      <c r="S68" s="277"/>
    </row>
    <row r="69" spans="1:21" s="36" customFormat="1" ht="21.95" customHeight="1" outlineLevel="1" x14ac:dyDescent="0.2">
      <c r="B69" s="275" t="str">
        <f>IF(G46="",B48,IF(B50="","",IF(H50="","",IF(B50&gt;2,B48,IF(H50&gt;2,G48,"")))))</f>
        <v>HIERNARD Geoffrey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>GILLON Jean-Baptiste</v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GARDIN Baptiste</v>
      </c>
      <c r="R69" s="276"/>
      <c r="S69" s="277"/>
    </row>
    <row r="70" spans="1:21" s="36" customFormat="1" ht="21.95" customHeight="1" outlineLevel="1" thickBot="1" x14ac:dyDescent="0.25">
      <c r="B70" s="275" t="str">
        <f>IF(G46="",B49,IF(B50="","",IF(H50="","",IF(B50&gt;2,B49,IF(H50&gt;2,G49,"")))))</f>
        <v>DEVAUX Cassandre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>GRICOURT TONDU - Mathys</v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GAUTIER Eva</v>
      </c>
      <c r="R70" s="276"/>
      <c r="S70" s="277"/>
    </row>
    <row r="71" spans="1:21" ht="21.9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>
        <f>IF(N71="","",IF(N71&gt;1,1,0))</f>
        <v>0</v>
      </c>
      <c r="L71" s="254">
        <f>IF(N71="","",SUM(K71:K77))</f>
        <v>2</v>
      </c>
      <c r="M71" s="266"/>
      <c r="N71" s="78">
        <v>1</v>
      </c>
      <c r="O71" s="226"/>
      <c r="P71" s="227"/>
      <c r="Q71" s="78">
        <v>2</v>
      </c>
      <c r="R71" s="253">
        <f>IF(Q71="","",SUM(T71:T77))</f>
        <v>4</v>
      </c>
      <c r="S71" s="254"/>
      <c r="T71" s="41">
        <f>IF(Q71="","",IF(Q71&gt;1,1,0))</f>
        <v>1</v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>
        <f t="shared" ref="K72:K77" si="2">IF(N72="","",IF(N72&gt;1,1,0))</f>
        <v>1</v>
      </c>
      <c r="L72" s="256"/>
      <c r="M72" s="267"/>
      <c r="N72" s="79">
        <v>3</v>
      </c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1.9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>
        <f t="shared" si="2"/>
        <v>1</v>
      </c>
      <c r="L73" s="256"/>
      <c r="M73" s="267"/>
      <c r="N73" s="79">
        <v>2</v>
      </c>
      <c r="O73" s="222"/>
      <c r="P73" s="223"/>
      <c r="Q73" s="79">
        <v>1</v>
      </c>
      <c r="R73" s="255"/>
      <c r="S73" s="256"/>
      <c r="T73" s="41">
        <f t="shared" si="3"/>
        <v>0</v>
      </c>
      <c r="U73" s="30"/>
    </row>
    <row r="74" spans="1:21" ht="21.9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>
        <f t="shared" si="2"/>
        <v>0</v>
      </c>
      <c r="L74" s="256"/>
      <c r="M74" s="267"/>
      <c r="N74" s="79">
        <v>0</v>
      </c>
      <c r="O74" s="222"/>
      <c r="P74" s="223"/>
      <c r="Q74" s="79">
        <v>3</v>
      </c>
      <c r="R74" s="255"/>
      <c r="S74" s="256"/>
      <c r="T74" s="41">
        <f t="shared" si="3"/>
        <v>1</v>
      </c>
      <c r="U74" s="30"/>
    </row>
    <row r="75" spans="1:21" ht="21.9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>
        <f t="shared" si="2"/>
        <v>0</v>
      </c>
      <c r="L75" s="256"/>
      <c r="M75" s="267"/>
      <c r="N75" s="79">
        <v>1</v>
      </c>
      <c r="O75" s="222"/>
      <c r="P75" s="223"/>
      <c r="Q75" s="79">
        <v>2</v>
      </c>
      <c r="R75" s="255"/>
      <c r="S75" s="256"/>
      <c r="T75" s="41">
        <f t="shared" si="3"/>
        <v>1</v>
      </c>
      <c r="U75" s="30"/>
    </row>
    <row r="76" spans="1:21" ht="21.9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>
        <v>3</v>
      </c>
      <c r="R76" s="255"/>
      <c r="S76" s="256"/>
      <c r="T76" s="41">
        <f t="shared" si="3"/>
        <v>1</v>
      </c>
      <c r="U76" s="30"/>
    </row>
    <row r="77" spans="1:21" ht="21.9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7.9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>ALBERT SPORT TIR</v>
      </c>
      <c r="M80" s="233"/>
      <c r="N80" s="234"/>
      <c r="O80" s="40"/>
      <c r="P80" s="42"/>
      <c r="U80" s="42"/>
    </row>
    <row r="81" spans="6:21" s="36" customFormat="1" ht="21.9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>IDEZ Morgan</v>
      </c>
      <c r="M81" s="230"/>
      <c r="N81" s="231"/>
      <c r="O81" s="37"/>
      <c r="P81" s="43"/>
      <c r="U81" s="43"/>
    </row>
    <row r="82" spans="6:21" s="36" customFormat="1" ht="21.9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>GILLON Jean-Baptiste</v>
      </c>
      <c r="M82" s="230"/>
      <c r="N82" s="231"/>
      <c r="O82" s="37"/>
      <c r="P82" s="43"/>
      <c r="U82" s="43"/>
    </row>
    <row r="83" spans="6:21" s="36" customFormat="1" ht="21.9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>GRICOURT TONDU - Mathys</v>
      </c>
      <c r="M83" s="230"/>
      <c r="N83" s="231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8" t="str">
        <f>IF(G67="",B67,IF(B71="","",IF(H71="","",IF(B71&gt;3,B67,IF(H71&gt;3,G67,"")))))</f>
        <v>TIR ROYEN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AAE ESTREBOEUF</v>
      </c>
      <c r="M94" s="239"/>
      <c r="N94" s="240"/>
      <c r="O94" s="38"/>
    </row>
    <row r="95" spans="6:21" ht="20.100000000000001" customHeight="1" outlineLevel="1" x14ac:dyDescent="0.2">
      <c r="F95" s="35"/>
      <c r="G95" s="235" t="str">
        <f>IF(G67="",B68,IF(B71="","",IF(H71="","",IF(B71&gt;3,B68,IF(H71&gt;3,G68,"")))))</f>
        <v>KOZIAREK Hubert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ROUSSEL Maxence</v>
      </c>
      <c r="M95" s="236"/>
      <c r="N95" s="237"/>
      <c r="O95" s="36"/>
    </row>
    <row r="96" spans="6:21" ht="20.100000000000001" customHeight="1" outlineLevel="1" x14ac:dyDescent="0.2">
      <c r="F96" s="35"/>
      <c r="G96" s="235" t="str">
        <f>IF(G67="",B69,IF(B71="","",IF(H71="","",IF(B71&gt;3,B69,IF(H71&gt;3,G69,"")))))</f>
        <v>HIERNARD Geoffrey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GARDIN Baptiste</v>
      </c>
      <c r="M96" s="236"/>
      <c r="N96" s="237"/>
      <c r="O96" s="36"/>
    </row>
    <row r="97" spans="5:15" ht="20.100000000000001" customHeight="1" outlineLevel="1" thickBot="1" x14ac:dyDescent="0.25">
      <c r="F97" s="35"/>
      <c r="G97" s="235" t="str">
        <f>IF(G67="",B70,IF(B71="","",IF(H71="","",IF(B71&gt;3,B70,IF(H71&gt;3,G70,"")))))</f>
        <v>DEVAUX Cassandre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GAUTIER Eva</v>
      </c>
      <c r="M97" s="236"/>
      <c r="N97" s="237"/>
      <c r="O97" s="36"/>
    </row>
    <row r="98" spans="5:15" ht="21.95" customHeight="1" x14ac:dyDescent="0.2">
      <c r="E98" s="30"/>
      <c r="F98" s="44">
        <f>IF(I98="","",IF(I98&gt;1,1,0))</f>
        <v>0</v>
      </c>
      <c r="G98" s="254">
        <f>IF(I98="","",SUM(F98:F104))</f>
        <v>3</v>
      </c>
      <c r="H98" s="266"/>
      <c r="I98" s="78">
        <v>1</v>
      </c>
      <c r="J98" s="226"/>
      <c r="K98" s="227"/>
      <c r="L98" s="78">
        <v>2</v>
      </c>
      <c r="M98" s="253">
        <f>IF(L98="","",SUM(O98:O104))</f>
        <v>4</v>
      </c>
      <c r="N98" s="254"/>
      <c r="O98" s="41">
        <f>IF(L98="","",IF(L98&gt;1,1,0))</f>
        <v>1</v>
      </c>
    </row>
    <row r="99" spans="5:15" ht="21.95" customHeight="1" x14ac:dyDescent="0.2">
      <c r="E99" s="30"/>
      <c r="F99" s="44">
        <f t="shared" ref="F99:F104" si="6">IF(I99="","",IF(I99&gt;1,1,0))</f>
        <v>1</v>
      </c>
      <c r="G99" s="256"/>
      <c r="H99" s="267"/>
      <c r="I99" s="79">
        <v>2</v>
      </c>
      <c r="J99" s="222"/>
      <c r="K99" s="223"/>
      <c r="L99" s="79">
        <v>1</v>
      </c>
      <c r="M99" s="255"/>
      <c r="N99" s="256"/>
      <c r="O99" s="41">
        <f t="shared" ref="O99:O104" si="7">IF(L99="","",IF(L99&gt;1,1,0))</f>
        <v>0</v>
      </c>
    </row>
    <row r="100" spans="5:15" ht="21.95" customHeight="1" x14ac:dyDescent="0.2">
      <c r="E100" s="30"/>
      <c r="F100" s="44">
        <f t="shared" si="6"/>
        <v>1</v>
      </c>
      <c r="G100" s="256"/>
      <c r="H100" s="267"/>
      <c r="I100" s="79">
        <v>2</v>
      </c>
      <c r="J100" s="222"/>
      <c r="K100" s="223"/>
      <c r="L100" s="79">
        <v>1</v>
      </c>
      <c r="M100" s="255"/>
      <c r="N100" s="256"/>
      <c r="O100" s="41">
        <f t="shared" si="7"/>
        <v>0</v>
      </c>
    </row>
    <row r="101" spans="5:15" ht="21.95" customHeight="1" x14ac:dyDescent="0.2">
      <c r="E101" s="30"/>
      <c r="F101" s="44">
        <f t="shared" si="6"/>
        <v>1</v>
      </c>
      <c r="G101" s="256"/>
      <c r="H101" s="267"/>
      <c r="I101" s="79">
        <v>2</v>
      </c>
      <c r="J101" s="222"/>
      <c r="K101" s="223"/>
      <c r="L101" s="79">
        <v>1</v>
      </c>
      <c r="M101" s="255"/>
      <c r="N101" s="256"/>
      <c r="O101" s="41">
        <f t="shared" si="7"/>
        <v>0</v>
      </c>
    </row>
    <row r="102" spans="5:15" ht="21.95" customHeight="1" x14ac:dyDescent="0.2">
      <c r="E102" s="30"/>
      <c r="F102" s="44">
        <f t="shared" si="6"/>
        <v>0</v>
      </c>
      <c r="G102" s="256"/>
      <c r="H102" s="267"/>
      <c r="I102" s="79">
        <v>0</v>
      </c>
      <c r="J102" s="222"/>
      <c r="K102" s="223"/>
      <c r="L102" s="79">
        <v>3</v>
      </c>
      <c r="M102" s="255"/>
      <c r="N102" s="256"/>
      <c r="O102" s="41">
        <f t="shared" si="7"/>
        <v>1</v>
      </c>
    </row>
    <row r="103" spans="5:15" ht="21.95" customHeight="1" x14ac:dyDescent="0.2">
      <c r="E103" s="30"/>
      <c r="F103" s="44">
        <f t="shared" si="6"/>
        <v>0</v>
      </c>
      <c r="G103" s="256"/>
      <c r="H103" s="267"/>
      <c r="I103" s="79">
        <v>1</v>
      </c>
      <c r="J103" s="222"/>
      <c r="K103" s="223"/>
      <c r="L103" s="79">
        <v>2</v>
      </c>
      <c r="M103" s="255"/>
      <c r="N103" s="256"/>
      <c r="O103" s="41">
        <f t="shared" si="7"/>
        <v>1</v>
      </c>
    </row>
    <row r="104" spans="5:15" ht="21.95" customHeight="1" thickBot="1" x14ac:dyDescent="0.25">
      <c r="E104" s="30"/>
      <c r="F104" s="44">
        <f t="shared" si="6"/>
        <v>0</v>
      </c>
      <c r="G104" s="256"/>
      <c r="H104" s="267"/>
      <c r="I104" s="80">
        <v>1</v>
      </c>
      <c r="J104" s="222"/>
      <c r="K104" s="223"/>
      <c r="L104" s="80">
        <v>2</v>
      </c>
      <c r="M104" s="255"/>
      <c r="N104" s="256"/>
      <c r="O104" s="41">
        <f t="shared" si="7"/>
        <v>1</v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 enableFormatConditionsCalculation="0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PICARDIE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 x14ac:dyDescent="0.2">
      <c r="A7" s="54">
        <v>1</v>
      </c>
      <c r="B7" s="55" t="str">
        <f>IF(A7="","",IF(P.F.!G98&gt;3,P.F.!G94,IF(P.F.!M98&gt;3,P.F.!L94,"")))</f>
        <v>AAE ESTREBOEUF</v>
      </c>
      <c r="C7" s="55"/>
      <c r="D7" s="57">
        <f>IF(A7="","",VLOOKUP(B7,'M Q'!B$5:T$20,2,0))</f>
        <v>1680110</v>
      </c>
      <c r="E7" s="182">
        <f>IF(A7="","",VLOOKUP(B7,'M Q'!B$5:T$20,18,0))</f>
        <v>530.5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 x14ac:dyDescent="0.2">
      <c r="A8" s="54">
        <f>IF(INFO!B8&gt;1,2,"")</f>
        <v>2</v>
      </c>
      <c r="B8" s="55" t="str">
        <f>IF(A8="","",IF(P.F.!G98&gt;3,P.F.!L94,IF(P.F.!M98&gt;3,P.F.!G94,"")))</f>
        <v>TIR ROYEN</v>
      </c>
      <c r="C8" s="55"/>
      <c r="D8" s="57">
        <f>IF(A8="","",VLOOKUP(B8,'M Q'!B$5:T$20,2,0))</f>
        <v>1680005</v>
      </c>
      <c r="E8" s="182">
        <f>IF(A8="","",VLOOKUP(B8,'M Q'!B$5:T$20,18,0))</f>
        <v>532</v>
      </c>
      <c r="F8" s="75">
        <f>IF(A8="","",VLOOKUP(B8,'M Q'!B$5:T$20,19,0))</f>
        <v>0</v>
      </c>
      <c r="G8" s="283"/>
      <c r="H8" s="19"/>
    </row>
    <row r="9" spans="1:18" s="100" customFormat="1" ht="26.1" customHeight="1" x14ac:dyDescent="0.2">
      <c r="A9" s="54">
        <f>IF(INFO!B8&gt;2,3,"")</f>
        <v>3</v>
      </c>
      <c r="B9" s="56" t="str">
        <f>IF(A9="","",IF(INFO!B8=3,P.F.!L80,IF(P.F.!G84&gt;3,P.F.!G80,IF(P.F.!M84&gt;3,P.F.!L80,""))))</f>
        <v>ALBERT SPORT TIR</v>
      </c>
      <c r="C9" s="56"/>
      <c r="D9" s="57">
        <f>IF(A9="","",VLOOKUP(B9,'M Q'!B$5:T$20,2,0))</f>
        <v>1680020</v>
      </c>
      <c r="E9" s="182">
        <f>IF(A9="","",VLOOKUP(B9,'M Q'!B$5:T$20,18,0))</f>
        <v>465.2</v>
      </c>
      <c r="F9" s="75">
        <f>IF(A9="","",VLOOKUP(B9,'M Q'!B$5:T$20,19,0))</f>
        <v>0</v>
      </c>
      <c r="G9" s="283" t="s">
        <v>21</v>
      </c>
      <c r="H9" s="20"/>
    </row>
    <row r="10" spans="1:18" s="100" customFormat="1" ht="26.1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530.50000027119995</v>
      </c>
      <c r="K22" s="106">
        <f>VLOOKUP(L22,saisie!C$5:W$44,19,0)</f>
        <v>0</v>
      </c>
      <c r="L22" s="106" t="str">
        <f>IF(P.F.!Q40="","",IF(P.F.!R40&gt;2,P.F.!L36,IF(P.F.!L40&gt;2,P.F.!Q36,"")))</f>
        <v>AAE ESTREBOEUF</v>
      </c>
      <c r="M22" s="107">
        <f>VLOOKUP(L22,saisie!C$5:W$44,2,0)</f>
        <v>1680110</v>
      </c>
      <c r="N22" s="105"/>
      <c r="O22" s="105"/>
      <c r="P22" s="105"/>
    </row>
    <row r="23" spans="1:16" s="100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Eric</cp:lastModifiedBy>
  <cp:lastPrinted>2016-12-18T15:05:05Z</cp:lastPrinted>
  <dcterms:created xsi:type="dcterms:W3CDTF">2004-11-19T11:01:00Z</dcterms:created>
  <dcterms:modified xsi:type="dcterms:W3CDTF">2016-12-18T15:08:02Z</dcterms:modified>
</cp:coreProperties>
</file>